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eal Analyzer" sheetId="1" state="visible" r:id="rId3"/>
    <sheet name="10-Year Projection" sheetId="2" state="visible" r:id="rId4"/>
    <sheet name="How to Use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C8" authorId="0">
      <text>
        <r>
          <rPr>
            <sz val="10"/>
            <rFont val="Arial"/>
            <family val="2"/>
          </rPr>
          <t xml:space="preserve">DSCR and investment property loans often require 20–25% down.</t>
        </r>
      </text>
    </comment>
    <comment ref="C9" authorId="0">
      <text>
        <r>
          <rPr>
            <sz val="10"/>
            <rFont val="Arial"/>
            <family val="2"/>
          </rPr>
          <t xml:space="preserve">Example rate, not a quote.</t>
        </r>
      </text>
    </comment>
    <comment ref="C24" authorId="0">
      <text>
        <r>
          <rPr>
            <sz val="10"/>
            <rFont val="Arial"/>
            <family val="2"/>
          </rPr>
          <t xml:space="preserve">Savings for big replacements: roof, HVAC, water heater, appliances.</t>
        </r>
      </text>
    </comment>
    <comment ref="C25" authorId="0">
      <text>
        <r>
          <rPr>
            <sz val="10"/>
            <rFont val="Arial"/>
            <family val="2"/>
          </rPr>
          <t xml:space="preserve">Use 0% if you self-manage, but value your time.</t>
        </r>
      </text>
    </comment>
  </commentList>
</comments>
</file>

<file path=xl/sharedStrings.xml><?xml version="1.0" encoding="utf-8"?>
<sst xmlns="http://schemas.openxmlformats.org/spreadsheetml/2006/main" count="103" uniqueCount="99">
  <si>
    <t xml:space="preserve">Rental Property Analysis</t>
  </si>
  <si>
    <t xml:space="preserve">Free from RealEstateCalculator.org — same formulas as our online rental property calculator.</t>
  </si>
  <si>
    <t xml:space="preserve">https://realestatecalculator.org/rental-property-calculator</t>
  </si>
  <si>
    <t xml:space="preserve">Edit the yellow cells (blue numbers). Everything else calculates. Estimates only, not a loan offer.</t>
  </si>
  <si>
    <t xml:space="preserve">Purchase and loan</t>
  </si>
  <si>
    <t xml:space="preserve">Loan</t>
  </si>
  <si>
    <t xml:space="preserve">Purchase price</t>
  </si>
  <si>
    <t xml:space="preserve">Down payment</t>
  </si>
  <si>
    <t xml:space="preserve">Down payment (% of price)</t>
  </si>
  <si>
    <t xml:space="preserve">Loan amount</t>
  </si>
  <si>
    <t xml:space="preserve">Interest rate</t>
  </si>
  <si>
    <t xml:space="preserve">Monthly principal + interest</t>
  </si>
  <si>
    <t xml:space="preserve">Loan term (years)</t>
  </si>
  <si>
    <t xml:space="preserve">Monthly PITIA (P&amp;I + tax + insurance + HOA)</t>
  </si>
  <si>
    <t xml:space="preserve">Closing costs</t>
  </si>
  <si>
    <t xml:space="preserve">Cash invested (down + closing + repairs)</t>
  </si>
  <si>
    <t xml:space="preserve">Repairs at purchase</t>
  </si>
  <si>
    <t xml:space="preserve">Annual operating statement</t>
  </si>
  <si>
    <t xml:space="preserve">Income (monthly)</t>
  </si>
  <si>
    <t xml:space="preserve">Gross income</t>
  </si>
  <si>
    <t xml:space="preserve">Rent</t>
  </si>
  <si>
    <t xml:space="preserve">Vacancy</t>
  </si>
  <si>
    <t xml:space="preserve">Other income (parking, laundry, storage)</t>
  </si>
  <si>
    <t xml:space="preserve">Effective income</t>
  </si>
  <si>
    <t xml:space="preserve">Vacancy (% of income)</t>
  </si>
  <si>
    <t xml:space="preserve">Property tax</t>
  </si>
  <si>
    <t xml:space="preserve">Insurance</t>
  </si>
  <si>
    <t xml:space="preserve">Operating expenses</t>
  </si>
  <si>
    <t xml:space="preserve">HOA</t>
  </si>
  <si>
    <t xml:space="preserve">Property tax (per year)</t>
  </si>
  <si>
    <t xml:space="preserve">Repairs</t>
  </si>
  <si>
    <t xml:space="preserve">Insurance (per year)</t>
  </si>
  <si>
    <t xml:space="preserve">Capital expenses</t>
  </si>
  <si>
    <t xml:space="preserve">HOA dues (per month)</t>
  </si>
  <si>
    <t xml:space="preserve">Management</t>
  </si>
  <si>
    <t xml:space="preserve">Repairs (% of rent)</t>
  </si>
  <si>
    <t xml:space="preserve">Utilities</t>
  </si>
  <si>
    <t xml:space="preserve">Capital expenses reserve (% of rent)</t>
  </si>
  <si>
    <t xml:space="preserve">Net operating income (NOI)</t>
  </si>
  <si>
    <t xml:space="preserve">Property management (% of collected income)</t>
  </si>
  <si>
    <t xml:space="preserve">Debt service (P&amp;I × 12)</t>
  </si>
  <si>
    <t xml:space="preserve">Owner-paid utilities (per month)</t>
  </si>
  <si>
    <t xml:space="preserve">Annual cash flow</t>
  </si>
  <si>
    <t xml:space="preserve">Projection assumptions (10-year tab)</t>
  </si>
  <si>
    <t xml:space="preserve">Results</t>
  </si>
  <si>
    <t xml:space="preserve">Rent growth per year</t>
  </si>
  <si>
    <t xml:space="preserve">Monthly cash flow</t>
  </si>
  <si>
    <t xml:space="preserve">Expense growth per year</t>
  </si>
  <si>
    <t xml:space="preserve">Cap rate (NOI ÷ price)</t>
  </si>
  <si>
    <t xml:space="preserve">Property value growth per year</t>
  </si>
  <si>
    <t xml:space="preserve">Cash-on-cash return</t>
  </si>
  <si>
    <t xml:space="preserve">Cost to sell (% of sale price)</t>
  </si>
  <si>
    <t xml:space="preserve">DSCR, lender-style (rent ÷ PITIA)</t>
  </si>
  <si>
    <t xml:space="preserve">DSCR, NOI-based (NOI ÷ debt service)</t>
  </si>
  <si>
    <t xml:space="preserve">Rent needed for 1.25 DSCR</t>
  </si>
  <si>
    <t xml:space="preserve">Gross rent multiplier</t>
  </si>
  <si>
    <t xml:space="preserve">Rent-to-price (1% rule)</t>
  </si>
  <si>
    <t xml:space="preserve">Formulas match https://realestatecalculator.org/methodology. Taxes and depreciation are not included.</t>
  </si>
  <si>
    <t xml:space="preserve">Need a DSCR loan for this property? Check rates at realestatecalculator.org/dscr-calculator</t>
  </si>
  <si>
    <t xml:space="preserve">10-Year Projection</t>
  </si>
  <si>
    <t xml:space="preserve">Inputs come from the Deal Analyzer tab (green = linked). Assumes you sell at the end of each year shown.</t>
  </si>
  <si>
    <t xml:space="preserve">Year</t>
  </si>
  <si>
    <t xml:space="preserve">0</t>
  </si>
  <si>
    <t xml:space="preserve">1</t>
  </si>
  <si>
    <t xml:space="preserve">2</t>
  </si>
  <si>
    <t xml:space="preserve">3</t>
  </si>
  <si>
    <t xml:space="preserve">4</t>
  </si>
  <si>
    <t xml:space="preserve">5</t>
  </si>
  <si>
    <t xml:space="preserve">6</t>
  </si>
  <si>
    <t xml:space="preserve">7</t>
  </si>
  <si>
    <t xml:space="preserve">8</t>
  </si>
  <si>
    <t xml:space="preserve">9</t>
  </si>
  <si>
    <t xml:space="preserve">10</t>
  </si>
  <si>
    <t xml:space="preserve">Net operating income</t>
  </si>
  <si>
    <t xml:space="preserve">Debt service</t>
  </si>
  <si>
    <t xml:space="preserve">Cash flow</t>
  </si>
  <si>
    <t xml:space="preserve">Cumulative cash flow</t>
  </si>
  <si>
    <t xml:space="preserve">Loan balance (end of year)</t>
  </si>
  <si>
    <t xml:space="preserve">Property value</t>
  </si>
  <si>
    <t xml:space="preserve">Equity</t>
  </si>
  <si>
    <t xml:space="preserve">Net sale proceeds</t>
  </si>
  <si>
    <t xml:space="preserve">Total profit if sold</t>
  </si>
  <si>
    <t xml:space="preserve">Cash flows for IRR</t>
  </si>
  <si>
    <t xml:space="preserve">10-year IRR (buy, hold 10 years, sell)</t>
  </si>
  <si>
    <t xml:space="preserve">Equity multiple (total cash back ÷ cash invested)</t>
  </si>
  <si>
    <t xml:space="preserve">Expenses grow with expense growth; management stays a % of collected income. Loan balance uses the standard amortization schedule.</t>
  </si>
  <si>
    <t xml:space="preserve">How to use this spreadsheet</t>
  </si>
  <si>
    <t xml:space="preserve">1. On the Deal Analyzer tab, change the yellow cells with blue numbers. They hold example values you should replace.</t>
  </si>
  <si>
    <t xml:space="preserve">2. Results update instantly: cash flow, cap rate, cash-on-cash return and DSCR.</t>
  </si>
  <si>
    <t xml:space="preserve">3. The 10-Year Projection tab grows rent, expenses and value, and shows equity, total profit and IRR if you sell.</t>
  </si>
  <si>
    <t xml:space="preserve">Definitions</t>
  </si>
  <si>
    <t xml:space="preserve">NOI = effective income (after vacancy) − operating expenses. Excludes the mortgage.</t>
  </si>
  <si>
    <t xml:space="preserve">Cap rate = NOI ÷ purchase price.</t>
  </si>
  <si>
    <t xml:space="preserve">Cash flow = NOI − principal and interest.</t>
  </si>
  <si>
    <t xml:space="preserve">Cash-on-cash = annual cash flow ÷ (down payment + closing costs + repairs at purchase).</t>
  </si>
  <si>
    <t xml:space="preserve">DSCR (lender-style) = monthly rent ÷ PITIA. Most DSCR lenders look for 1.0–1.25 or higher.</t>
  </si>
  <si>
    <t xml:space="preserve">These are estimates for planning, not loan offers or tax advice. Depreciation and income taxes are not included.</t>
  </si>
  <si>
    <t xml:space="preserve">Full formulas and sources: https://realestatecalculator.org/methodology</t>
  </si>
  <si>
    <t xml:space="preserve">More free calculators: https://realestatecalculator.org/calculators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</si>
</sst>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\$#,##0;&quot;($&quot;#,##0\);\-"/>
    <numFmt numFmtId="166" formatCode="0.0%;\(0.0%\);\-"/>
    <numFmt numFmtId="167" formatCode="0.000%"/>
    <numFmt numFmtId="168" formatCode="\$#,##0.00;&quot;($&quot;#,##0.00\);\-"/>
    <numFmt numFmtId="169" formatCode="0"/>
    <numFmt numFmtId="170" formatCode="0.00%;\(0.00%\);\-"/>
    <numFmt numFmtId="171" formatCode="0.00\x"/>
    <numFmt numFmtId="172" formatCode="0.0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C5CAB"/>
      <name val="Arial"/>
      <family val="0"/>
      <charset val="1"/>
    </font>
    <font>
      <i val="true"/>
      <sz val="11"/>
      <color rgb="FF666666"/>
      <name val="Arial"/>
      <family val="0"/>
      <charset val="1"/>
    </font>
    <font>
      <u val="single"/>
      <sz val="11"/>
      <color rgb="FF1C5CAB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2"/>
      <color rgb="FFFFFFFF"/>
      <name val="Arial"/>
      <family val="0"/>
      <charset val="1"/>
    </font>
    <font>
      <sz val="11"/>
      <name val="Arial"/>
      <family val="0"/>
      <charset val="1"/>
    </font>
    <font>
      <sz val="11"/>
      <color rgb="FF0000FF"/>
      <name val="Arial"/>
      <family val="0"/>
      <charset val="1"/>
    </font>
    <font>
      <i val="true"/>
      <sz val="11"/>
      <color rgb="FF555555"/>
      <name val="Arial"/>
      <family val="0"/>
      <charset val="1"/>
    </font>
    <font>
      <sz val="10"/>
      <name val="Arial"/>
      <family val="2"/>
    </font>
    <font>
      <sz val="11"/>
      <color rgb="FF00800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C5CAB"/>
        <bgColor rgb="FF3366FF"/>
      </patternFill>
    </fill>
    <fill>
      <patternFill patternType="solid">
        <fgColor rgb="FFFFF9C4"/>
        <bgColor rgb="FFFFFF99"/>
      </patternFill>
    </fill>
    <fill>
      <patternFill patternType="solid">
        <fgColor rgb="FFE8F0FB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0D7E2"/>
      </left>
      <right style="thin">
        <color rgb="FFD0D7E2"/>
      </right>
      <top style="thin">
        <color rgb="FFD0D7E2"/>
      </top>
      <bottom style="thin">
        <color rgb="FFD0D7E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7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9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9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7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9C4"/>
      <rgbColor rgb="FFE8F0FB"/>
      <rgbColor rgb="FF660066"/>
      <rgbColor rgb="FFFF8080"/>
      <rgbColor rgb="FF1C5CAB"/>
      <rgbColor rgb="FFD0D7E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555555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hyperlink" Target="https://realestatecalculator.org/rental-property-calculator" TargetMode="External"/><Relationship Id="rId3" Type="http://schemas.openxmlformats.org/officeDocument/2006/relationships/hyperlink" Target="https://realestatecalculator.org/dscr-calculator" TargetMode="External"/><Relationship Id="rId4" Type="http://schemas.openxmlformats.org/officeDocument/2006/relationships/vmlDrawing" Target="../drawings/vmlDrawing1.v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hyperlink" Target="https://realestatecalculator.org/methodology" TargetMode="External"/><Relationship Id="rId2" Type="http://schemas.openxmlformats.org/officeDocument/2006/relationships/hyperlink" Target="https://realestatecalculator.org/calculators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G3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8"/>
    <col collapsed="false" customWidth="true" hidden="false" outlineLevel="0" max="3" min="3" style="0" width="16"/>
    <col collapsed="false" customWidth="true" hidden="false" outlineLevel="0" max="4" min="4" style="0" width="3"/>
    <col collapsed="false" customWidth="true" hidden="false" outlineLevel="0" max="5" min="5" style="0" width="38"/>
    <col collapsed="false" customWidth="true" hidden="false" outlineLevel="0" max="6" min="6" style="0" width="16"/>
    <col collapsed="false" customWidth="true" hidden="false" outlineLevel="0" max="7" min="7" style="0" width="40"/>
  </cols>
  <sheetData>
    <row r="1" customFormat="false" ht="19.7" hidden="false" customHeight="false" outlineLevel="0" collapsed="false">
      <c r="B1" s="1" t="s">
        <v>0</v>
      </c>
    </row>
    <row r="2" customFormat="false" ht="15" hidden="false" customHeight="false" outlineLevel="0" collapsed="false">
      <c r="B2" s="2" t="s">
        <v>1</v>
      </c>
    </row>
    <row r="3" customFormat="false" ht="15" hidden="false" customHeight="false" outlineLevel="0" collapsed="false">
      <c r="B3" s="3" t="s">
        <v>2</v>
      </c>
    </row>
    <row r="4" customFormat="false" ht="15" hidden="false" customHeight="false" outlineLevel="0" collapsed="false">
      <c r="B4" s="4" t="s">
        <v>3</v>
      </c>
    </row>
    <row r="6" customFormat="false" ht="15" hidden="false" customHeight="false" outlineLevel="0" collapsed="false">
      <c r="B6" s="5" t="s">
        <v>4</v>
      </c>
      <c r="C6" s="6"/>
      <c r="E6" s="5" t="s">
        <v>5</v>
      </c>
      <c r="F6" s="6"/>
    </row>
    <row r="7" customFormat="false" ht="15" hidden="false" customHeight="false" outlineLevel="0" collapsed="false">
      <c r="B7" s="7" t="s">
        <v>6</v>
      </c>
      <c r="C7" s="8" t="n">
        <v>300000</v>
      </c>
      <c r="E7" s="7" t="s">
        <v>7</v>
      </c>
      <c r="F7" s="9" t="n">
        <f aca="false">C7*C8</f>
        <v>75000</v>
      </c>
    </row>
    <row r="8" customFormat="false" ht="15" hidden="false" customHeight="false" outlineLevel="0" collapsed="false">
      <c r="B8" s="7" t="s">
        <v>8</v>
      </c>
      <c r="C8" s="10" t="n">
        <v>0.25</v>
      </c>
      <c r="E8" s="7" t="s">
        <v>9</v>
      </c>
      <c r="F8" s="9" t="n">
        <f aca="false">C7-F7</f>
        <v>225000</v>
      </c>
    </row>
    <row r="9" customFormat="false" ht="15" hidden="false" customHeight="false" outlineLevel="0" collapsed="false">
      <c r="B9" s="7" t="s">
        <v>10</v>
      </c>
      <c r="C9" s="11" t="n">
        <v>0.075</v>
      </c>
      <c r="E9" s="7" t="s">
        <v>11</v>
      </c>
      <c r="F9" s="12" t="n">
        <f aca="false">IF(F8&gt;0,IF(C9=0,F8/(C10*12),PMT(C9/12,C10*12,-F8)),0)</f>
        <v>1573.23264424375</v>
      </c>
    </row>
    <row r="10" customFormat="false" ht="15" hidden="false" customHeight="false" outlineLevel="0" collapsed="false">
      <c r="B10" s="7" t="s">
        <v>12</v>
      </c>
      <c r="C10" s="13" t="n">
        <v>30</v>
      </c>
      <c r="E10" s="7" t="s">
        <v>13</v>
      </c>
      <c r="F10" s="12" t="n">
        <f aca="false">F9+C20/12+C21/12+C22</f>
        <v>1998.23264424375</v>
      </c>
    </row>
    <row r="11" customFormat="false" ht="15" hidden="false" customHeight="false" outlineLevel="0" collapsed="false">
      <c r="B11" s="7" t="s">
        <v>14</v>
      </c>
      <c r="C11" s="8" t="n">
        <v>9000</v>
      </c>
      <c r="E11" s="7" t="s">
        <v>15</v>
      </c>
      <c r="F11" s="9" t="n">
        <f aca="false">F7+C11+C12</f>
        <v>84000</v>
      </c>
    </row>
    <row r="12" customFormat="false" ht="15" hidden="false" customHeight="false" outlineLevel="0" collapsed="false">
      <c r="B12" s="7" t="s">
        <v>16</v>
      </c>
      <c r="C12" s="8" t="n">
        <v>0</v>
      </c>
    </row>
    <row r="13" customFormat="false" ht="15" hidden="false" customHeight="false" outlineLevel="0" collapsed="false">
      <c r="E13" s="5" t="s">
        <v>17</v>
      </c>
      <c r="F13" s="6"/>
    </row>
    <row r="14" customFormat="false" ht="15" hidden="false" customHeight="false" outlineLevel="0" collapsed="false">
      <c r="B14" s="5" t="s">
        <v>18</v>
      </c>
      <c r="C14" s="6"/>
      <c r="E14" s="7" t="s">
        <v>19</v>
      </c>
      <c r="F14" s="9" t="n">
        <f aca="false">(C15+C16)*12</f>
        <v>32400</v>
      </c>
    </row>
    <row r="15" customFormat="false" ht="15" hidden="false" customHeight="false" outlineLevel="0" collapsed="false">
      <c r="B15" s="7" t="s">
        <v>20</v>
      </c>
      <c r="C15" s="8" t="n">
        <v>2700</v>
      </c>
      <c r="E15" s="7" t="s">
        <v>21</v>
      </c>
      <c r="F15" s="9" t="n">
        <f aca="false">-F14*C17</f>
        <v>-1620</v>
      </c>
    </row>
    <row r="16" customFormat="false" ht="15" hidden="false" customHeight="false" outlineLevel="0" collapsed="false">
      <c r="B16" s="7" t="s">
        <v>22</v>
      </c>
      <c r="C16" s="8" t="n">
        <v>0</v>
      </c>
      <c r="E16" s="4" t="s">
        <v>23</v>
      </c>
      <c r="F16" s="14" t="n">
        <f aca="false">F14+F15</f>
        <v>30780</v>
      </c>
    </row>
    <row r="17" customFormat="false" ht="15" hidden="false" customHeight="false" outlineLevel="0" collapsed="false">
      <c r="B17" s="7" t="s">
        <v>24</v>
      </c>
      <c r="C17" s="10" t="n">
        <v>0.05</v>
      </c>
      <c r="E17" s="7" t="s">
        <v>25</v>
      </c>
      <c r="F17" s="9" t="n">
        <f aca="false">-C20</f>
        <v>-3600</v>
      </c>
    </row>
    <row r="18" customFormat="false" ht="15" hidden="false" customHeight="false" outlineLevel="0" collapsed="false">
      <c r="E18" s="7" t="s">
        <v>26</v>
      </c>
      <c r="F18" s="9" t="n">
        <f aca="false">-C21</f>
        <v>-1500</v>
      </c>
    </row>
    <row r="19" customFormat="false" ht="15" hidden="false" customHeight="false" outlineLevel="0" collapsed="false">
      <c r="B19" s="5" t="s">
        <v>27</v>
      </c>
      <c r="C19" s="6"/>
      <c r="E19" s="7" t="s">
        <v>28</v>
      </c>
      <c r="F19" s="9" t="n">
        <f aca="false">-C22*12</f>
        <v>-0</v>
      </c>
    </row>
    <row r="20" customFormat="false" ht="15" hidden="false" customHeight="false" outlineLevel="0" collapsed="false">
      <c r="B20" s="7" t="s">
        <v>29</v>
      </c>
      <c r="C20" s="8" t="n">
        <v>3600</v>
      </c>
      <c r="E20" s="7" t="s">
        <v>30</v>
      </c>
      <c r="F20" s="9" t="n">
        <f aca="false">-C15*12*C23</f>
        <v>-1620</v>
      </c>
    </row>
    <row r="21" customFormat="false" ht="15" hidden="false" customHeight="false" outlineLevel="0" collapsed="false">
      <c r="B21" s="7" t="s">
        <v>31</v>
      </c>
      <c r="C21" s="8" t="n">
        <v>1500</v>
      </c>
      <c r="E21" s="7" t="s">
        <v>32</v>
      </c>
      <c r="F21" s="9" t="n">
        <f aca="false">-C15*12*C24</f>
        <v>-1620</v>
      </c>
    </row>
    <row r="22" customFormat="false" ht="15" hidden="false" customHeight="false" outlineLevel="0" collapsed="false">
      <c r="B22" s="7" t="s">
        <v>33</v>
      </c>
      <c r="C22" s="8" t="n">
        <v>0</v>
      </c>
      <c r="E22" s="7" t="s">
        <v>34</v>
      </c>
      <c r="F22" s="9" t="n">
        <f aca="false">-F16*C25</f>
        <v>-2462.4</v>
      </c>
    </row>
    <row r="23" customFormat="false" ht="15" hidden="false" customHeight="false" outlineLevel="0" collapsed="false">
      <c r="B23" s="7" t="s">
        <v>35</v>
      </c>
      <c r="C23" s="10" t="n">
        <v>0.05</v>
      </c>
      <c r="E23" s="7" t="s">
        <v>36</v>
      </c>
      <c r="F23" s="9" t="n">
        <f aca="false">-C26*12</f>
        <v>-0</v>
      </c>
    </row>
    <row r="24" customFormat="false" ht="15" hidden="false" customHeight="false" outlineLevel="0" collapsed="false">
      <c r="B24" s="7" t="s">
        <v>37</v>
      </c>
      <c r="C24" s="10" t="n">
        <v>0.05</v>
      </c>
      <c r="E24" s="4" t="s">
        <v>38</v>
      </c>
      <c r="F24" s="14" t="n">
        <f aca="false">SUM(F16:F23)</f>
        <v>19977.6</v>
      </c>
    </row>
    <row r="25" customFormat="false" ht="15" hidden="false" customHeight="false" outlineLevel="0" collapsed="false">
      <c r="B25" s="7" t="s">
        <v>39</v>
      </c>
      <c r="C25" s="10" t="n">
        <v>0.08</v>
      </c>
      <c r="E25" s="7" t="s">
        <v>40</v>
      </c>
      <c r="F25" s="9" t="n">
        <f aca="false">-F9*12</f>
        <v>-18878.791730925</v>
      </c>
    </row>
    <row r="26" customFormat="false" ht="15" hidden="false" customHeight="false" outlineLevel="0" collapsed="false">
      <c r="B26" s="7" t="s">
        <v>41</v>
      </c>
      <c r="C26" s="8" t="n">
        <v>0</v>
      </c>
      <c r="E26" s="4" t="s">
        <v>42</v>
      </c>
      <c r="F26" s="14" t="n">
        <f aca="false">F24+F25</f>
        <v>1098.80826907496</v>
      </c>
    </row>
    <row r="28" customFormat="false" ht="15" hidden="false" customHeight="false" outlineLevel="0" collapsed="false">
      <c r="B28" s="5" t="s">
        <v>43</v>
      </c>
      <c r="C28" s="6"/>
      <c r="E28" s="5" t="s">
        <v>44</v>
      </c>
      <c r="F28" s="6"/>
    </row>
    <row r="29" customFormat="false" ht="15" hidden="false" customHeight="false" outlineLevel="0" collapsed="false">
      <c r="B29" s="7" t="s">
        <v>45</v>
      </c>
      <c r="C29" s="10" t="n">
        <v>0.03</v>
      </c>
      <c r="E29" s="15" t="s">
        <v>46</v>
      </c>
      <c r="F29" s="16" t="n">
        <f aca="false">F26/12</f>
        <v>91.5673557562468</v>
      </c>
      <c r="G29" s="17" t="str">
        <f aca="false">IF(F29&gt;=0,"Positive cash flow","Negative cash flow")</f>
        <v>Positive cash flow</v>
      </c>
    </row>
    <row r="30" customFormat="false" ht="15" hidden="false" customHeight="false" outlineLevel="0" collapsed="false">
      <c r="B30" s="7" t="s">
        <v>47</v>
      </c>
      <c r="C30" s="10" t="n">
        <v>0.03</v>
      </c>
      <c r="E30" s="18" t="s">
        <v>48</v>
      </c>
      <c r="F30" s="19" t="n">
        <f aca="false">IF(C7&gt;0,F24/C7,0)</f>
        <v>0.066592</v>
      </c>
    </row>
    <row r="31" customFormat="false" ht="15" hidden="false" customHeight="false" outlineLevel="0" collapsed="false">
      <c r="B31" s="7" t="s">
        <v>49</v>
      </c>
      <c r="C31" s="10" t="n">
        <v>0.03</v>
      </c>
      <c r="E31" s="18" t="s">
        <v>50</v>
      </c>
      <c r="F31" s="19" t="n">
        <f aca="false">IF(F11&gt;0,F26/F11,0)</f>
        <v>0.013081050822321</v>
      </c>
    </row>
    <row r="32" customFormat="false" ht="15" hidden="false" customHeight="false" outlineLevel="0" collapsed="false">
      <c r="B32" s="7" t="s">
        <v>51</v>
      </c>
      <c r="C32" s="10" t="n">
        <v>0.06</v>
      </c>
      <c r="E32" s="18" t="s">
        <v>52</v>
      </c>
      <c r="F32" s="20" t="n">
        <f aca="false">IF(F8&gt;0,C15/F10,0)</f>
        <v>1.35119402026476</v>
      </c>
      <c r="G32" s="17" t="str">
        <f aca="false">IF(F8=0,"No loan",IF(F32&gt;=1.25,"Strong for most DSCR lenders",IF(F32&gt;=1,"Some lenders","Below most lender minimums")))</f>
        <v>Strong for most DSCR lenders</v>
      </c>
    </row>
    <row r="33" customFormat="false" ht="15" hidden="false" customHeight="false" outlineLevel="0" collapsed="false">
      <c r="E33" s="7" t="s">
        <v>53</v>
      </c>
      <c r="F33" s="21" t="n">
        <f aca="false">IF(F25&lt;0,F24/-F25,0)</f>
        <v>1.05820331537823</v>
      </c>
    </row>
    <row r="34" customFormat="false" ht="15" hidden="false" customHeight="false" outlineLevel="0" collapsed="false">
      <c r="E34" s="7" t="s">
        <v>54</v>
      </c>
      <c r="F34" s="9" t="n">
        <f aca="false">F10*1.25</f>
        <v>2497.79080530469</v>
      </c>
    </row>
    <row r="35" customFormat="false" ht="15" hidden="false" customHeight="false" outlineLevel="0" collapsed="false">
      <c r="E35" s="7" t="s">
        <v>55</v>
      </c>
      <c r="F35" s="22" t="n">
        <f aca="false">IF(C15&gt;0,C7/(C15*12),0)</f>
        <v>9.25925925925926</v>
      </c>
    </row>
    <row r="36" customFormat="false" ht="15" hidden="false" customHeight="false" outlineLevel="0" collapsed="false">
      <c r="E36" s="7" t="s">
        <v>56</v>
      </c>
      <c r="F36" s="23" t="n">
        <f aca="false">IF(C7&gt;0,C15/C7,0)</f>
        <v>0.009</v>
      </c>
      <c r="G36" s="17" t="str">
        <f aca="false">IF(F36&gt;=0.01,"Meets the 1% rule","Below the 1% rule")</f>
        <v>Below the 1% rule</v>
      </c>
    </row>
    <row r="38" customFormat="false" ht="15" hidden="false" customHeight="false" outlineLevel="0" collapsed="false">
      <c r="B38" s="2" t="s">
        <v>57</v>
      </c>
    </row>
    <row r="39" customFormat="false" ht="15" hidden="false" customHeight="false" outlineLevel="0" collapsed="false">
      <c r="B39" s="3" t="s">
        <v>58</v>
      </c>
    </row>
  </sheetData>
  <hyperlinks>
    <hyperlink ref="B3" r:id="rId2" display="https://realestatecalculator.org/rental-property-calculator"/>
    <hyperlink ref="B39" r:id="rId3" display="Need a DSCR loan for this property? Check rates at realestatecalculator.org/dscr-calculator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12" min="2" style="0" width="13"/>
  </cols>
  <sheetData>
    <row r="1" customFormat="false" ht="19.7" hidden="false" customHeight="false" outlineLevel="0" collapsed="false">
      <c r="A1" s="1" t="s">
        <v>59</v>
      </c>
    </row>
    <row r="2" customFormat="false" ht="15" hidden="false" customHeight="false" outlineLevel="0" collapsed="false">
      <c r="A2" s="2" t="s">
        <v>60</v>
      </c>
    </row>
    <row r="4" customFormat="false" ht="15" hidden="false" customHeight="false" outlineLevel="0" collapsed="false">
      <c r="A4" s="5" t="s">
        <v>61</v>
      </c>
      <c r="B4" s="24" t="s">
        <v>62</v>
      </c>
      <c r="C4" s="24" t="s">
        <v>63</v>
      </c>
      <c r="D4" s="24" t="s">
        <v>64</v>
      </c>
      <c r="E4" s="24" t="s">
        <v>65</v>
      </c>
      <c r="F4" s="24" t="s">
        <v>66</v>
      </c>
      <c r="G4" s="24" t="s">
        <v>67</v>
      </c>
      <c r="H4" s="24" t="s">
        <v>68</v>
      </c>
      <c r="I4" s="24" t="s">
        <v>69</v>
      </c>
      <c r="J4" s="24" t="s">
        <v>70</v>
      </c>
      <c r="K4" s="24" t="s">
        <v>71</v>
      </c>
      <c r="L4" s="24" t="s">
        <v>72</v>
      </c>
    </row>
    <row r="5" customFormat="false" ht="15" hidden="false" customHeight="false" outlineLevel="0" collapsed="false">
      <c r="A5" s="7" t="s">
        <v>19</v>
      </c>
      <c r="C5" s="9" t="n">
        <f aca="false">('Deal Analyzer'!$C$15+'Deal Analyzer'!$C$16)*12*(1+'Deal Analyzer'!$C$29)^(1-1)</f>
        <v>32400</v>
      </c>
      <c r="D5" s="9" t="n">
        <f aca="false">('Deal Analyzer'!$C$15+'Deal Analyzer'!$C$16)*12*(1+'Deal Analyzer'!$C$29)^(2-1)</f>
        <v>33372</v>
      </c>
      <c r="E5" s="9" t="n">
        <f aca="false">('Deal Analyzer'!$C$15+'Deal Analyzer'!$C$16)*12*(1+'Deal Analyzer'!$C$29)^(3-1)</f>
        <v>34373.16</v>
      </c>
      <c r="F5" s="9" t="n">
        <f aca="false">('Deal Analyzer'!$C$15+'Deal Analyzer'!$C$16)*12*(1+'Deal Analyzer'!$C$29)^(4-1)</f>
        <v>35404.3548</v>
      </c>
      <c r="G5" s="9" t="n">
        <f aca="false">('Deal Analyzer'!$C$15+'Deal Analyzer'!$C$16)*12*(1+'Deal Analyzer'!$C$29)^(5-1)</f>
        <v>36466.485444</v>
      </c>
      <c r="H5" s="9" t="n">
        <f aca="false">('Deal Analyzer'!$C$15+'Deal Analyzer'!$C$16)*12*(1+'Deal Analyzer'!$C$29)^(6-1)</f>
        <v>37560.48000732</v>
      </c>
      <c r="I5" s="9" t="n">
        <f aca="false">('Deal Analyzer'!$C$15+'Deal Analyzer'!$C$16)*12*(1+'Deal Analyzer'!$C$29)^(7-1)</f>
        <v>38687.2944075396</v>
      </c>
      <c r="J5" s="9" t="n">
        <f aca="false">('Deal Analyzer'!$C$15+'Deal Analyzer'!$C$16)*12*(1+'Deal Analyzer'!$C$29)^(8-1)</f>
        <v>39847.9132397658</v>
      </c>
      <c r="K5" s="9" t="n">
        <f aca="false">('Deal Analyzer'!$C$15+'Deal Analyzer'!$C$16)*12*(1+'Deal Analyzer'!$C$29)^(9-1)</f>
        <v>41043.3506369588</v>
      </c>
      <c r="L5" s="9" t="n">
        <f aca="false">('Deal Analyzer'!$C$15+'Deal Analyzer'!$C$16)*12*(1+'Deal Analyzer'!$C$29)^(10-1)</f>
        <v>42274.6511560675</v>
      </c>
    </row>
    <row r="6" customFormat="false" ht="15" hidden="false" customHeight="false" outlineLevel="0" collapsed="false">
      <c r="A6" s="7" t="s">
        <v>21</v>
      </c>
      <c r="C6" s="9" t="n">
        <f aca="false">-C5*'Deal Analyzer'!$C$17</f>
        <v>-1620</v>
      </c>
      <c r="D6" s="9" t="n">
        <f aca="false">-D5*'Deal Analyzer'!$C$17</f>
        <v>-1668.6</v>
      </c>
      <c r="E6" s="9" t="n">
        <f aca="false">-E5*'Deal Analyzer'!$C$17</f>
        <v>-1718.658</v>
      </c>
      <c r="F6" s="9" t="n">
        <f aca="false">-F5*'Deal Analyzer'!$C$17</f>
        <v>-1770.21774</v>
      </c>
      <c r="G6" s="9" t="n">
        <f aca="false">-G5*'Deal Analyzer'!$C$17</f>
        <v>-1823.3242722</v>
      </c>
      <c r="H6" s="9" t="n">
        <f aca="false">-H5*'Deal Analyzer'!$C$17</f>
        <v>-1878.024000366</v>
      </c>
      <c r="I6" s="9" t="n">
        <f aca="false">-I5*'Deal Analyzer'!$C$17</f>
        <v>-1934.36472037698</v>
      </c>
      <c r="J6" s="9" t="n">
        <f aca="false">-J5*'Deal Analyzer'!$C$17</f>
        <v>-1992.39566198829</v>
      </c>
      <c r="K6" s="9" t="n">
        <f aca="false">-K5*'Deal Analyzer'!$C$17</f>
        <v>-2052.16753184794</v>
      </c>
      <c r="L6" s="9" t="n">
        <f aca="false">-L5*'Deal Analyzer'!$C$17</f>
        <v>-2113.73255780338</v>
      </c>
    </row>
    <row r="7" customFormat="false" ht="15" hidden="false" customHeight="false" outlineLevel="0" collapsed="false">
      <c r="A7" s="7" t="s">
        <v>23</v>
      </c>
      <c r="C7" s="9" t="n">
        <f aca="false">C5+C6</f>
        <v>30780</v>
      </c>
      <c r="D7" s="9" t="n">
        <f aca="false">D5+D6</f>
        <v>31703.4</v>
      </c>
      <c r="E7" s="9" t="n">
        <f aca="false">E5+E6</f>
        <v>32654.502</v>
      </c>
      <c r="F7" s="9" t="n">
        <f aca="false">F5+F6</f>
        <v>33634.13706</v>
      </c>
      <c r="G7" s="9" t="n">
        <f aca="false">G5+G6</f>
        <v>34643.1611718</v>
      </c>
      <c r="H7" s="9" t="n">
        <f aca="false">H5+H6</f>
        <v>35682.456006954</v>
      </c>
      <c r="I7" s="9" t="n">
        <f aca="false">I5+I6</f>
        <v>36752.9296871626</v>
      </c>
      <c r="J7" s="9" t="n">
        <f aca="false">J5+J6</f>
        <v>37855.5175777775</v>
      </c>
      <c r="K7" s="9" t="n">
        <f aca="false">K5+K6</f>
        <v>38991.1831051108</v>
      </c>
      <c r="L7" s="9" t="n">
        <f aca="false">L5+L6</f>
        <v>40160.9185982642</v>
      </c>
    </row>
    <row r="8" customFormat="false" ht="15" hidden="false" customHeight="false" outlineLevel="0" collapsed="false">
      <c r="A8" s="7" t="s">
        <v>27</v>
      </c>
      <c r="C8" s="9" t="n">
        <f aca="false">('Deal Analyzer'!$F$17+'Deal Analyzer'!$F$18+'Deal Analyzer'!$F$19+'Deal Analyzer'!$F$20+'Deal Analyzer'!$F$21+'Deal Analyzer'!$F$23)*(1+'Deal Analyzer'!$C$30)^(1-1)-C7*'Deal Analyzer'!$C$25</f>
        <v>-10802.4</v>
      </c>
      <c r="D8" s="9" t="n">
        <f aca="false">('Deal Analyzer'!$F$17+'Deal Analyzer'!$F$18+'Deal Analyzer'!$F$19+'Deal Analyzer'!$F$20+'Deal Analyzer'!$F$21+'Deal Analyzer'!$F$23)*(1+'Deal Analyzer'!$C$30)^(2-1)-D7*'Deal Analyzer'!$C$25</f>
        <v>-11126.472</v>
      </c>
      <c r="E8" s="9" t="n">
        <f aca="false">('Deal Analyzer'!$F$17+'Deal Analyzer'!$F$18+'Deal Analyzer'!$F$19+'Deal Analyzer'!$F$20+'Deal Analyzer'!$F$21+'Deal Analyzer'!$F$23)*(1+'Deal Analyzer'!$C$30)^(3-1)-E7*'Deal Analyzer'!$C$25</f>
        <v>-11460.26616</v>
      </c>
      <c r="F8" s="9" t="n">
        <f aca="false">('Deal Analyzer'!$F$17+'Deal Analyzer'!$F$18+'Deal Analyzer'!$F$19+'Deal Analyzer'!$F$20+'Deal Analyzer'!$F$21+'Deal Analyzer'!$F$23)*(1+'Deal Analyzer'!$C$30)^(4-1)-F7*'Deal Analyzer'!$C$25</f>
        <v>-11804.0741448</v>
      </c>
      <c r="G8" s="9" t="n">
        <f aca="false">('Deal Analyzer'!$F$17+'Deal Analyzer'!$F$18+'Deal Analyzer'!$F$19+'Deal Analyzer'!$F$20+'Deal Analyzer'!$F$21+'Deal Analyzer'!$F$23)*(1+'Deal Analyzer'!$C$30)^(5-1)-G7*'Deal Analyzer'!$C$25</f>
        <v>-12158.196369144</v>
      </c>
      <c r="H8" s="9" t="n">
        <f aca="false">('Deal Analyzer'!$F$17+'Deal Analyzer'!$F$18+'Deal Analyzer'!$F$19+'Deal Analyzer'!$F$20+'Deal Analyzer'!$F$21+'Deal Analyzer'!$F$23)*(1+'Deal Analyzer'!$C$30)^(6-1)-H7*'Deal Analyzer'!$C$25</f>
        <v>-12522.9422602183</v>
      </c>
      <c r="I8" s="9" t="n">
        <f aca="false">('Deal Analyzer'!$F$17+'Deal Analyzer'!$F$18+'Deal Analyzer'!$F$19+'Deal Analyzer'!$F$20+'Deal Analyzer'!$F$21+'Deal Analyzer'!$F$23)*(1+'Deal Analyzer'!$C$30)^(7-1)-I7*'Deal Analyzer'!$C$25</f>
        <v>-12898.6305280249</v>
      </c>
      <c r="J8" s="9" t="n">
        <f aca="false">('Deal Analyzer'!$F$17+'Deal Analyzer'!$F$18+'Deal Analyzer'!$F$19+'Deal Analyzer'!$F$20+'Deal Analyzer'!$F$21+'Deal Analyzer'!$F$23)*(1+'Deal Analyzer'!$C$30)^(8-1)-J7*'Deal Analyzer'!$C$25</f>
        <v>-13285.5894438656</v>
      </c>
      <c r="K8" s="9" t="n">
        <f aca="false">('Deal Analyzer'!$F$17+'Deal Analyzer'!$F$18+'Deal Analyzer'!$F$19+'Deal Analyzer'!$F$20+'Deal Analyzer'!$F$21+'Deal Analyzer'!$F$23)*(1+'Deal Analyzer'!$C$30)^(9-1)-K7*'Deal Analyzer'!$C$25</f>
        <v>-13684.1571271816</v>
      </c>
      <c r="L8" s="9" t="n">
        <f aca="false">('Deal Analyzer'!$F$17+'Deal Analyzer'!$F$18+'Deal Analyzer'!$F$19+'Deal Analyzer'!$F$20+'Deal Analyzer'!$F$21+'Deal Analyzer'!$F$23)*(1+'Deal Analyzer'!$C$30)^(10-1)-L7*'Deal Analyzer'!$C$25</f>
        <v>-14094.681840997</v>
      </c>
    </row>
    <row r="9" customFormat="false" ht="15" hidden="false" customHeight="false" outlineLevel="0" collapsed="false">
      <c r="A9" s="4" t="s">
        <v>73</v>
      </c>
      <c r="C9" s="14" t="n">
        <f aca="false">C7+C8</f>
        <v>19977.6</v>
      </c>
      <c r="D9" s="14" t="n">
        <f aca="false">D7+D8</f>
        <v>20576.928</v>
      </c>
      <c r="E9" s="14" t="n">
        <f aca="false">E7+E8</f>
        <v>21194.23584</v>
      </c>
      <c r="F9" s="14" t="n">
        <f aca="false">F7+F8</f>
        <v>21830.0629152</v>
      </c>
      <c r="G9" s="14" t="n">
        <f aca="false">G7+G8</f>
        <v>22484.964802656</v>
      </c>
      <c r="H9" s="14" t="n">
        <f aca="false">H7+H8</f>
        <v>23159.5137467357</v>
      </c>
      <c r="I9" s="14" t="n">
        <f aca="false">I7+I8</f>
        <v>23854.2991591378</v>
      </c>
      <c r="J9" s="14" t="n">
        <f aca="false">J7+J8</f>
        <v>24569.9281339119</v>
      </c>
      <c r="K9" s="14" t="n">
        <f aca="false">K7+K8</f>
        <v>25307.0259779292</v>
      </c>
      <c r="L9" s="14" t="n">
        <f aca="false">L7+L8</f>
        <v>26066.2367572671</v>
      </c>
    </row>
    <row r="10" customFormat="false" ht="15" hidden="false" customHeight="false" outlineLevel="0" collapsed="false">
      <c r="A10" s="7" t="s">
        <v>74</v>
      </c>
      <c r="C10" s="9" t="n">
        <f aca="false">IF(1&lt;='Deal Analyzer'!$C$10,'Deal Analyzer'!$F$25,0)</f>
        <v>-18878.791730925</v>
      </c>
      <c r="D10" s="9" t="n">
        <f aca="false">IF(2&lt;='Deal Analyzer'!$C$10,'Deal Analyzer'!$F$25,0)</f>
        <v>-18878.791730925</v>
      </c>
      <c r="E10" s="9" t="n">
        <f aca="false">IF(3&lt;='Deal Analyzer'!$C$10,'Deal Analyzer'!$F$25,0)</f>
        <v>-18878.791730925</v>
      </c>
      <c r="F10" s="9" t="n">
        <f aca="false">IF(4&lt;='Deal Analyzer'!$C$10,'Deal Analyzer'!$F$25,0)</f>
        <v>-18878.791730925</v>
      </c>
      <c r="G10" s="9" t="n">
        <f aca="false">IF(5&lt;='Deal Analyzer'!$C$10,'Deal Analyzer'!$F$25,0)</f>
        <v>-18878.791730925</v>
      </c>
      <c r="H10" s="9" t="n">
        <f aca="false">IF(6&lt;='Deal Analyzer'!$C$10,'Deal Analyzer'!$F$25,0)</f>
        <v>-18878.791730925</v>
      </c>
      <c r="I10" s="9" t="n">
        <f aca="false">IF(7&lt;='Deal Analyzer'!$C$10,'Deal Analyzer'!$F$25,0)</f>
        <v>-18878.791730925</v>
      </c>
      <c r="J10" s="9" t="n">
        <f aca="false">IF(8&lt;='Deal Analyzer'!$C$10,'Deal Analyzer'!$F$25,0)</f>
        <v>-18878.791730925</v>
      </c>
      <c r="K10" s="9" t="n">
        <f aca="false">IF(9&lt;='Deal Analyzer'!$C$10,'Deal Analyzer'!$F$25,0)</f>
        <v>-18878.791730925</v>
      </c>
      <c r="L10" s="9" t="n">
        <f aca="false">IF(10&lt;='Deal Analyzer'!$C$10,'Deal Analyzer'!$F$25,0)</f>
        <v>-18878.791730925</v>
      </c>
    </row>
    <row r="11" customFormat="false" ht="15" hidden="false" customHeight="false" outlineLevel="0" collapsed="false">
      <c r="A11" s="4" t="s">
        <v>75</v>
      </c>
      <c r="C11" s="14" t="n">
        <f aca="false">C9+C10</f>
        <v>1098.80826907496</v>
      </c>
      <c r="D11" s="14" t="n">
        <f aca="false">D9+D10</f>
        <v>1698.13626907496</v>
      </c>
      <c r="E11" s="14" t="n">
        <f aca="false">E9+E10</f>
        <v>2315.44410907496</v>
      </c>
      <c r="F11" s="14" t="n">
        <f aca="false">F9+F10</f>
        <v>2951.27118427496</v>
      </c>
      <c r="G11" s="14" t="n">
        <f aca="false">G9+G10</f>
        <v>3606.17307173097</v>
      </c>
      <c r="H11" s="14" t="n">
        <f aca="false">H9+H10</f>
        <v>4280.72201581065</v>
      </c>
      <c r="I11" s="14" t="n">
        <f aca="false">I9+I10</f>
        <v>4975.50742821271</v>
      </c>
      <c r="J11" s="14" t="n">
        <f aca="false">J9+J10</f>
        <v>5691.13640298685</v>
      </c>
      <c r="K11" s="14" t="n">
        <f aca="false">K9+K10</f>
        <v>6428.23424700421</v>
      </c>
      <c r="L11" s="14" t="n">
        <f aca="false">L9+L10</f>
        <v>7187.44502634208</v>
      </c>
    </row>
    <row r="12" customFormat="false" ht="15" hidden="false" customHeight="false" outlineLevel="0" collapsed="false">
      <c r="A12" s="7" t="s">
        <v>76</v>
      </c>
      <c r="C12" s="9" t="n">
        <f aca="false">SUM($C$11:C11)</f>
        <v>1098.80826907496</v>
      </c>
      <c r="D12" s="9" t="n">
        <f aca="false">SUM($C$11:D11)</f>
        <v>2796.94453814992</v>
      </c>
      <c r="E12" s="9" t="n">
        <f aca="false">SUM($C$11:E11)</f>
        <v>5112.38864722489</v>
      </c>
      <c r="F12" s="9" t="n">
        <f aca="false">SUM($C$11:F11)</f>
        <v>8063.65983149985</v>
      </c>
      <c r="G12" s="9" t="n">
        <f aca="false">SUM($C$11:G11)</f>
        <v>11669.8329032308</v>
      </c>
      <c r="H12" s="9" t="n">
        <f aca="false">SUM($C$11:H11)</f>
        <v>15950.5549190415</v>
      </c>
      <c r="I12" s="9" t="n">
        <f aca="false">SUM($C$11:I11)</f>
        <v>20926.0623472542</v>
      </c>
      <c r="J12" s="9" t="n">
        <f aca="false">SUM($C$11:J11)</f>
        <v>26617.198750241</v>
      </c>
      <c r="K12" s="9" t="n">
        <f aca="false">SUM($C$11:K11)</f>
        <v>33045.4329972452</v>
      </c>
      <c r="L12" s="9" t="n">
        <f aca="false">SUM($C$11:L11)</f>
        <v>40232.8780235873</v>
      </c>
    </row>
    <row r="14" customFormat="false" ht="15" hidden="false" customHeight="false" outlineLevel="0" collapsed="false">
      <c r="A14" s="7" t="s">
        <v>77</v>
      </c>
      <c r="B14" s="25" t="n">
        <f aca="false">'Deal Analyzer'!F8</f>
        <v>225000</v>
      </c>
      <c r="C14" s="9" t="n">
        <f aca="false">IF('Deal Analyzer'!$F$8=0,0,IF(1&gt;='Deal Analyzer'!$C$10,0,IF('Deal Analyzer'!$C$9=0,'Deal Analyzer'!$F$8*(1-1/'Deal Analyzer'!$C$10),FV('Deal Analyzer'!$C$9/12,1*12,'Deal Analyzer'!$F$9,-'Deal Analyzer'!$F$8))))</f>
        <v>222925.872538161</v>
      </c>
      <c r="D14" s="9" t="n">
        <f aca="false">IF('Deal Analyzer'!$F$8=0,0,IF(2&gt;='Deal Analyzer'!$C$10,0,IF('Deal Analyzer'!$C$9=0,'Deal Analyzer'!$F$8*(1-2/'Deal Analyzer'!$C$10),FV('Deal Analyzer'!$C$9/12,2*12,'Deal Analyzer'!$F$9,-'Deal Analyzer'!$F$8))))</f>
        <v>220690.7251711</v>
      </c>
      <c r="E14" s="9" t="n">
        <f aca="false">IF('Deal Analyzer'!$F$8=0,0,IF(3&gt;='Deal Analyzer'!$C$10,0,IF('Deal Analyzer'!$C$9=0,'Deal Analyzer'!$F$8*(1-3/'Deal Analyzer'!$C$10),FV('Deal Analyzer'!$C$9/12,3*12,'Deal Analyzer'!$F$9,-'Deal Analyzer'!$F$8))))</f>
        <v>218282.057505109</v>
      </c>
      <c r="F14" s="9" t="n">
        <f aca="false">IF('Deal Analyzer'!$F$8=0,0,IF(4&gt;='Deal Analyzer'!$C$10,0,IF('Deal Analyzer'!$C$9=0,'Deal Analyzer'!$F$8*(1-4/'Deal Analyzer'!$C$10),FV('Deal Analyzer'!$C$9/12,4*12,'Deal Analyzer'!$F$9,-'Deal Analyzer'!$F$8))))</f>
        <v>215686.398708426</v>
      </c>
      <c r="G14" s="9" t="n">
        <f aca="false">IF('Deal Analyzer'!$F$8=0,0,IF(5&gt;='Deal Analyzer'!$C$10,0,IF('Deal Analyzer'!$C$9=0,'Deal Analyzer'!$F$8*(1-5/'Deal Analyzer'!$C$10),FV('Deal Analyzer'!$C$9/12,5*12,'Deal Analyzer'!$F$9,-'Deal Analyzer'!$F$8))))</f>
        <v>212889.232173613</v>
      </c>
      <c r="H14" s="9" t="n">
        <f aca="false">IF('Deal Analyzer'!$F$8=0,0,IF(6&gt;='Deal Analyzer'!$C$10,0,IF('Deal Analyzer'!$C$9=0,'Deal Analyzer'!$F$8*(1-6/'Deal Analyzer'!$C$10),FV('Deal Analyzer'!$C$9/12,6*12,'Deal Analyzer'!$F$9,-'Deal Analyzer'!$F$8))))</f>
        <v>209874.91433127</v>
      </c>
      <c r="I14" s="9" t="n">
        <f aca="false">IF('Deal Analyzer'!$F$8=0,0,IF(7&gt;='Deal Analyzer'!$C$10,0,IF('Deal Analyzer'!$C$9=0,'Deal Analyzer'!$F$8*(1-7/'Deal Analyzer'!$C$10),FV('Deal Analyzer'!$C$9/12,7*12,'Deal Analyzer'!$F$9,-'Deal Analyzer'!$F$8))))</f>
        <v>206626.587161047</v>
      </c>
      <c r="J14" s="9" t="n">
        <f aca="false">IF('Deal Analyzer'!$F$8=0,0,IF(8&gt;='Deal Analyzer'!$C$10,0,IF('Deal Analyzer'!$C$9=0,'Deal Analyzer'!$F$8*(1-8/'Deal Analyzer'!$C$10),FV('Deal Analyzer'!$C$9/12,8*12,'Deal Analyzer'!$F$9,-'Deal Analyzer'!$F$8))))</f>
        <v>203126.083910665</v>
      </c>
      <c r="K14" s="9" t="n">
        <f aca="false">IF('Deal Analyzer'!$F$8=0,0,IF(9&gt;='Deal Analyzer'!$C$10,0,IF('Deal Analyzer'!$C$9=0,'Deal Analyzer'!$F$8*(1-9/'Deal Analyzer'!$C$10),FV('Deal Analyzer'!$C$9/12,9*12,'Deal Analyzer'!$F$9,-'Deal Analyzer'!$F$8))))</f>
        <v>199353.827495652</v>
      </c>
      <c r="L14" s="9" t="n">
        <f aca="false">IF('Deal Analyzer'!$F$8=0,0,IF(10&gt;='Deal Analyzer'!$C$10,0,IF('Deal Analyzer'!$C$9=0,'Deal Analyzer'!$F$8*(1-10/'Deal Analyzer'!$C$10),FV('Deal Analyzer'!$C$9/12,10*12,'Deal Analyzer'!$F$9,-'Deal Analyzer'!$F$8))))</f>
        <v>195288.72101159</v>
      </c>
    </row>
    <row r="15" customFormat="false" ht="15" hidden="false" customHeight="false" outlineLevel="0" collapsed="false">
      <c r="A15" s="7" t="s">
        <v>78</v>
      </c>
      <c r="B15" s="25" t="n">
        <f aca="false">'Deal Analyzer'!C7</f>
        <v>300000</v>
      </c>
      <c r="C15" s="9" t="n">
        <f aca="false">'Deal Analyzer'!$C$7*(1+'Deal Analyzer'!$C$31)^1</f>
        <v>309000</v>
      </c>
      <c r="D15" s="9" t="n">
        <f aca="false">'Deal Analyzer'!$C$7*(1+'Deal Analyzer'!$C$31)^2</f>
        <v>318270</v>
      </c>
      <c r="E15" s="9" t="n">
        <f aca="false">'Deal Analyzer'!$C$7*(1+'Deal Analyzer'!$C$31)^3</f>
        <v>327818.1</v>
      </c>
      <c r="F15" s="9" t="n">
        <f aca="false">'Deal Analyzer'!$C$7*(1+'Deal Analyzer'!$C$31)^4</f>
        <v>337652.643</v>
      </c>
      <c r="G15" s="9" t="n">
        <f aca="false">'Deal Analyzer'!$C$7*(1+'Deal Analyzer'!$C$31)^5</f>
        <v>347782.22229</v>
      </c>
      <c r="H15" s="9" t="n">
        <f aca="false">'Deal Analyzer'!$C$7*(1+'Deal Analyzer'!$C$31)^6</f>
        <v>358215.6889587</v>
      </c>
      <c r="I15" s="9" t="n">
        <f aca="false">'Deal Analyzer'!$C$7*(1+'Deal Analyzer'!$C$31)^7</f>
        <v>368962.159627461</v>
      </c>
      <c r="J15" s="9" t="n">
        <f aca="false">'Deal Analyzer'!$C$7*(1+'Deal Analyzer'!$C$31)^8</f>
        <v>380031.024416285</v>
      </c>
      <c r="K15" s="9" t="n">
        <f aca="false">'Deal Analyzer'!$C$7*(1+'Deal Analyzer'!$C$31)^9</f>
        <v>391431.955148773</v>
      </c>
      <c r="L15" s="9" t="n">
        <f aca="false">'Deal Analyzer'!$C$7*(1+'Deal Analyzer'!$C$31)^10</f>
        <v>403174.913803237</v>
      </c>
    </row>
    <row r="16" customFormat="false" ht="15" hidden="false" customHeight="false" outlineLevel="0" collapsed="false">
      <c r="A16" s="7" t="s">
        <v>79</v>
      </c>
      <c r="B16" s="26" t="n">
        <f aca="false">B15-B14</f>
        <v>75000</v>
      </c>
      <c r="C16" s="9" t="n">
        <f aca="false">C15-C14</f>
        <v>86074.1274618392</v>
      </c>
      <c r="D16" s="9" t="n">
        <f aca="false">D15-D14</f>
        <v>97579.2748288995</v>
      </c>
      <c r="E16" s="9" t="n">
        <f aca="false">E15-E14</f>
        <v>109536.042494891</v>
      </c>
      <c r="F16" s="9" t="n">
        <f aca="false">F15-F14</f>
        <v>121966.244291574</v>
      </c>
      <c r="G16" s="9" t="n">
        <f aca="false">G15-G14</f>
        <v>134892.990116387</v>
      </c>
      <c r="H16" s="9" t="n">
        <f aca="false">H15-H14</f>
        <v>148340.77462743</v>
      </c>
      <c r="I16" s="9" t="n">
        <f aca="false">I15-I14</f>
        <v>162335.572466414</v>
      </c>
      <c r="J16" s="9" t="n">
        <f aca="false">J15-J14</f>
        <v>176904.94050562</v>
      </c>
      <c r="K16" s="9" t="n">
        <f aca="false">K15-K14</f>
        <v>192078.127653122</v>
      </c>
      <c r="L16" s="9" t="n">
        <f aca="false">L15-L14</f>
        <v>207886.192791647</v>
      </c>
    </row>
    <row r="17" customFormat="false" ht="15" hidden="false" customHeight="false" outlineLevel="0" collapsed="false">
      <c r="A17" s="7" t="s">
        <v>80</v>
      </c>
      <c r="C17" s="9" t="n">
        <f aca="false">C15*(1-'Deal Analyzer'!$C$32)-C14</f>
        <v>67534.1274618392</v>
      </c>
      <c r="D17" s="9" t="n">
        <f aca="false">D15*(1-'Deal Analyzer'!$C$32)-D14</f>
        <v>78483.0748288995</v>
      </c>
      <c r="E17" s="9" t="n">
        <f aca="false">E15*(1-'Deal Analyzer'!$C$32)-E14</f>
        <v>89866.956494891</v>
      </c>
      <c r="F17" s="9" t="n">
        <f aca="false">F15*(1-'Deal Analyzer'!$C$32)-F14</f>
        <v>101707.085711574</v>
      </c>
      <c r="G17" s="9" t="n">
        <f aca="false">G15*(1-'Deal Analyzer'!$C$32)-G14</f>
        <v>114026.056778987</v>
      </c>
      <c r="H17" s="9" t="n">
        <f aca="false">H15*(1-'Deal Analyzer'!$C$32)-H14</f>
        <v>126847.833289908</v>
      </c>
      <c r="I17" s="9" t="n">
        <f aca="false">I15*(1-'Deal Analyzer'!$C$32)-I14</f>
        <v>140197.842888767</v>
      </c>
      <c r="J17" s="9" t="n">
        <f aca="false">J15*(1-'Deal Analyzer'!$C$32)-J14</f>
        <v>154103.079040643</v>
      </c>
      <c r="K17" s="9" t="n">
        <f aca="false">K15*(1-'Deal Analyzer'!$C$32)-K14</f>
        <v>168592.210344195</v>
      </c>
      <c r="L17" s="9" t="n">
        <f aca="false">L15*(1-'Deal Analyzer'!$C$32)-L14</f>
        <v>183695.697963452</v>
      </c>
    </row>
    <row r="18" customFormat="false" ht="15" hidden="false" customHeight="false" outlineLevel="0" collapsed="false">
      <c r="A18" s="4" t="s">
        <v>81</v>
      </c>
      <c r="C18" s="14" t="n">
        <f aca="false">C17+C12-'Deal Analyzer'!$F$11</f>
        <v>-15367.0642690859</v>
      </c>
      <c r="D18" s="14" t="n">
        <f aca="false">D17+D12-'Deal Analyzer'!$F$11</f>
        <v>-2719.98063295055</v>
      </c>
      <c r="E18" s="14" t="n">
        <f aca="false">E17+E12-'Deal Analyzer'!$F$11</f>
        <v>10979.3451421159</v>
      </c>
      <c r="F18" s="14" t="n">
        <f aca="false">F17+F12-'Deal Analyzer'!$F$11</f>
        <v>25770.7455430738</v>
      </c>
      <c r="G18" s="14" t="n">
        <f aca="false">G17+G12-'Deal Analyzer'!$F$11</f>
        <v>41695.8896822176</v>
      </c>
      <c r="H18" s="14" t="n">
        <f aca="false">H17+H12-'Deal Analyzer'!$F$11</f>
        <v>58798.3882089499</v>
      </c>
      <c r="I18" s="14" t="n">
        <f aca="false">I17+I12-'Deal Analyzer'!$F$11</f>
        <v>77123.9052360207</v>
      </c>
      <c r="J18" s="14" t="n">
        <f aca="false">J17+J12-'Deal Analyzer'!$F$11</f>
        <v>96720.2777908839</v>
      </c>
      <c r="K18" s="14" t="n">
        <f aca="false">K17+K12-'Deal Analyzer'!$F$11</f>
        <v>117637.64334144</v>
      </c>
      <c r="L18" s="14" t="n">
        <f aca="false">L17+L12-'Deal Analyzer'!$F$11</f>
        <v>139928.57598704</v>
      </c>
    </row>
    <row r="20" customFormat="false" ht="15" hidden="false" customHeight="false" outlineLevel="0" collapsed="false">
      <c r="A20" s="7" t="s">
        <v>82</v>
      </c>
      <c r="B20" s="25" t="n">
        <f aca="false">-'Deal Analyzer'!F11</f>
        <v>-84000</v>
      </c>
      <c r="C20" s="9" t="n">
        <f aca="false">C11+IF(1=10,C17,0)</f>
        <v>1098.80826907496</v>
      </c>
      <c r="D20" s="9" t="n">
        <f aca="false">D11+IF(2=10,D17,0)</f>
        <v>1698.13626907496</v>
      </c>
      <c r="E20" s="9" t="n">
        <f aca="false">E11+IF(3=10,E17,0)</f>
        <v>2315.44410907496</v>
      </c>
      <c r="F20" s="9" t="n">
        <f aca="false">F11+IF(4=10,F17,0)</f>
        <v>2951.27118427496</v>
      </c>
      <c r="G20" s="9" t="n">
        <f aca="false">G11+IF(5=10,G17,0)</f>
        <v>3606.17307173097</v>
      </c>
      <c r="H20" s="9" t="n">
        <f aca="false">H11+IF(6=10,H17,0)</f>
        <v>4280.72201581065</v>
      </c>
      <c r="I20" s="9" t="n">
        <f aca="false">I11+IF(7=10,I17,0)</f>
        <v>4975.50742821271</v>
      </c>
      <c r="J20" s="9" t="n">
        <f aca="false">J11+IF(8=10,J17,0)</f>
        <v>5691.13640298685</v>
      </c>
      <c r="K20" s="9" t="n">
        <f aca="false">K11+IF(9=10,K17,0)</f>
        <v>6428.23424700421</v>
      </c>
      <c r="L20" s="9" t="n">
        <f aca="false">L11+IF(10=10,L17,0)</f>
        <v>190883.142989794</v>
      </c>
    </row>
    <row r="22" customFormat="false" ht="15" hidden="false" customHeight="false" outlineLevel="0" collapsed="false">
      <c r="A22" s="15" t="s">
        <v>83</v>
      </c>
      <c r="B22" s="27" t="n">
        <f aca="false">IFERROR(IRR(B20:L20),0)</f>
        <v>0.111503883423546</v>
      </c>
    </row>
    <row r="23" customFormat="false" ht="15" hidden="false" customHeight="false" outlineLevel="0" collapsed="false">
      <c r="A23" s="0" t="s">
        <v>84</v>
      </c>
      <c r="B23" s="28" t="n">
        <f aca="false">IF('Deal Analyzer'!F11&gt;0,SUM(C20:L20)/'Deal Analyzer'!F11,0)</f>
        <v>2.66581638079809</v>
      </c>
    </row>
    <row r="25" customFormat="false" ht="15" hidden="false" customHeight="false" outlineLevel="0" collapsed="false">
      <c r="A25" s="2" t="s">
        <v>85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9.7" hidden="false" customHeight="false" outlineLevel="0" collapsed="false">
      <c r="A1" s="29" t="s">
        <v>86</v>
      </c>
    </row>
    <row r="2" customFormat="false" ht="26.85" hidden="false" customHeight="false" outlineLevel="0" collapsed="false">
      <c r="A2" s="30" t="s">
        <v>87</v>
      </c>
    </row>
    <row r="3" customFormat="false" ht="15" hidden="false" customHeight="false" outlineLevel="0" collapsed="false">
      <c r="A3" s="30" t="s">
        <v>88</v>
      </c>
    </row>
    <row r="4" customFormat="false" ht="15" hidden="false" customHeight="false" outlineLevel="0" collapsed="false">
      <c r="A4" s="30" t="s">
        <v>89</v>
      </c>
    </row>
    <row r="5" customFormat="false" ht="15" hidden="false" customHeight="false" outlineLevel="0" collapsed="false">
      <c r="A5" s="30"/>
    </row>
    <row r="6" customFormat="false" ht="15" hidden="false" customHeight="false" outlineLevel="0" collapsed="false">
      <c r="A6" s="31" t="s">
        <v>90</v>
      </c>
    </row>
    <row r="7" customFormat="false" ht="15" hidden="false" customHeight="false" outlineLevel="0" collapsed="false">
      <c r="A7" s="30" t="s">
        <v>91</v>
      </c>
    </row>
    <row r="8" customFormat="false" ht="15" hidden="false" customHeight="false" outlineLevel="0" collapsed="false">
      <c r="A8" s="30" t="s">
        <v>92</v>
      </c>
    </row>
    <row r="9" customFormat="false" ht="15" hidden="false" customHeight="false" outlineLevel="0" collapsed="false">
      <c r="A9" s="30" t="s">
        <v>93</v>
      </c>
    </row>
    <row r="10" customFormat="false" ht="15" hidden="false" customHeight="false" outlineLevel="0" collapsed="false">
      <c r="A10" s="30" t="s">
        <v>94</v>
      </c>
    </row>
    <row r="11" customFormat="false" ht="15" hidden="false" customHeight="false" outlineLevel="0" collapsed="false">
      <c r="A11" s="30" t="s">
        <v>95</v>
      </c>
    </row>
    <row r="12" customFormat="false" ht="15" hidden="false" customHeight="false" outlineLevel="0" collapsed="false">
      <c r="A12" s="30"/>
    </row>
    <row r="13" customFormat="false" ht="15" hidden="false" customHeight="false" outlineLevel="0" collapsed="false">
      <c r="A13" s="30" t="s">
        <v>96</v>
      </c>
    </row>
    <row r="14" customFormat="false" ht="15" hidden="false" customHeight="false" outlineLevel="0" collapsed="false">
      <c r="A14" s="32" t="s">
        <v>97</v>
      </c>
    </row>
    <row r="15" customFormat="false" ht="15" hidden="false" customHeight="false" outlineLevel="0" collapsed="false">
      <c r="A15" s="32" t="s">
        <v>98</v>
      </c>
    </row>
  </sheetData>
  <hyperlinks>
    <hyperlink ref="A14" r:id="rId1" display="Full formulas and sources: https://realestatecalculator.org/methodology"/>
    <hyperlink ref="A15" r:id="rId2" display="More free calculators: https://realestatecalculator.org/calculators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2026-10-23T19:53:15Z</dcterms:created>
  <dc:creator>openpyxl</dc:creator>
  <dc:description/>
  <dc:language>en-US</dc:language>
  <cp:lastModifiedBy/>
  <dcterms:modified xsi:type="dcterms:W3CDTF">2026-10-23T19:53:15Z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